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2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</externalReferences>
  <definedNames>
    <definedName name="_xlnm.Print_Area" localSheetId="1">'BS'!$A$1:$F$53</definedName>
    <definedName name="_xlnm.Print_Area" localSheetId="2">'CF'!$A$1:$N$81</definedName>
    <definedName name="_xlnm.Print_Area" localSheetId="3">'EQY'!$A$1:$O$35</definedName>
    <definedName name="_xlnm.Print_Area" localSheetId="4">'G&amp;L'!$A$1:$D$57</definedName>
    <definedName name="_xlnm.Print_Area" localSheetId="0">'P&amp;L'!$A$1:$H$51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<sst xmlns="http://schemas.openxmlformats.org/spreadsheetml/2006/main" count="188" uniqueCount="147">
  <si>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</si>
  <si>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</si>
  <si>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</si>
  <si>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</si>
  <si>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</si>
  <si>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</si>
  <si>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</si>
  <si>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</si>
  <si>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</si>
  <si>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</si>
  <si>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</si>
  <si>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</si>
  <si>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</si>
  <si>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</si>
  <si>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</si>
  <si>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</si>
  <si>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</si>
  <si>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</si>
  <si>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</si>
  <si>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</si>
  <si>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</si>
  <si>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</si>
  <si>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</si>
  <si>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</si>
  <si>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</si>
  <si>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</si>
  <si>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</si>
  <si>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</si>
  <si>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</si>
  <si>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</si>
  <si>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</si>
  <si>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</si>
  <si>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</si>
  <si>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</si>
  <si>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</si>
  <si>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</si>
  <si>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</si>
  <si>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</si>
  <si>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</si>
  <si>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</si>
  <si>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</si>
  <si>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</si>
  <si>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</si>
  <si>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</si>
  <si>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</si>
  <si>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</si>
  <si>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</si>
  <si>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</si>
  <si>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</si>
  <si>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</si>
  <si>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</si>
  <si>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</si>
  <si>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</si>
  <si>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</si>
  <si>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</si>
  <si>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</si>
  <si>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</si>
  <si>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</si>
  <si>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</si>
  <si>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</si>
  <si>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</si>
  <si>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</si>
  <si>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</si>
  <si>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</si>
  <si>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</si>
  <si>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Net profit for the period</t>
  </si>
  <si>
    <t>Share issue expenses</t>
  </si>
  <si>
    <t xml:space="preserve">Gross Profit </t>
  </si>
  <si>
    <t>Profit From Operations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</si>
  <si>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</si>
  <si>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</si>
  <si>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</si>
  <si>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</si>
  <si>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</si>
  <si>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</si>
  <si>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</si>
  <si>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and the accompanying explanatory notes attached to the interim financial statements.</t>
  </si>
  <si>
    <t>Development properties and real property assets</t>
  </si>
  <si>
    <t>Amount owing to directors</t>
  </si>
  <si>
    <t xml:space="preserve">Profit/(Loss) Before Taxation </t>
  </si>
  <si>
    <t>Profit/(Loss) After Taxation</t>
  </si>
  <si>
    <t>Net Profit/(Loss) For the Period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</si>
  <si>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</si>
  <si>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</si>
  <si>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</si>
  <si>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</si>
  <si>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</si>
  <si>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</si>
  <si>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</si>
  <si>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</si>
  <si>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</si>
  <si>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</si>
  <si>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31/12/2004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</si>
  <si>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</si>
  <si>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</si>
  <si>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</si>
  <si>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</si>
  <si>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</si>
  <si>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 xml:space="preserve">Reserve on consolidation recognised </t>
  </si>
  <si>
    <t>Goodwill amortisation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</si>
  <si>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</si>
  <si>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</si>
  <si>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</si>
  <si>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</si>
  <si>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</si>
  <si>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</si>
  <si>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</si>
  <si>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</si>
  <si>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>Repayment of hire purchase liabilities</t>
  </si>
  <si>
    <t>Repayment of bank borrowing</t>
  </si>
  <si>
    <t xml:space="preserve">Proceeds from the issuance of shares </t>
  </si>
  <si>
    <t>Shares issue expenses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</si>
  <si>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</si>
  <si>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</si>
  <si>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</si>
  <si>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</si>
  <si>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</si>
  <si>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</si>
  <si>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</si>
  <si>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</si>
  <si>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>Progress Billings</t>
  </si>
  <si>
    <t xml:space="preserve">Profit before taxation </t>
  </si>
  <si>
    <t xml:space="preserve">Share of joint venture </t>
  </si>
  <si>
    <t>Cash Generated From Operations</t>
  </si>
  <si>
    <t>Net Cash From Operating Activities</t>
  </si>
  <si>
    <t>Net Cash From Investing Activities</t>
  </si>
  <si>
    <t>Net Cash Used in Financing Activities</t>
  </si>
  <si>
    <t>the year ended 31 December 2004 and the accompanying explanatory notes attached to the interim financial statements.</t>
  </si>
  <si>
    <t>The condensed Consolidated Statements of Changes in Equity should be read in conjunction with the audited financial statements for the year ended 31 December 2004</t>
  </si>
  <si>
    <t>PROPERTY DEVELOPMENT COSTS</t>
  </si>
  <si>
    <t>Earnings per share (Note B13)</t>
  </si>
  <si>
    <t>Operating Profit Before Working Capital Changes</t>
  </si>
  <si>
    <t xml:space="preserve">Net profit for the period </t>
  </si>
  <si>
    <t>NET INCREASE IN CASH AND</t>
  </si>
  <si>
    <t>Balance as at 1st January 2005</t>
  </si>
  <si>
    <t>Balance as at 1st January 2004</t>
  </si>
  <si>
    <t>FOR THE YEAR ENDED 30 JUNE 2005</t>
  </si>
  <si>
    <t>30/06/2005</t>
  </si>
  <si>
    <t>30/06/2004</t>
  </si>
  <si>
    <t>AS AT 30 JUNE 2005</t>
  </si>
  <si>
    <t>FOR THE QUARTER ENDED 30 JUNE 2005</t>
  </si>
  <si>
    <t>Amortisation of goodwill</t>
  </si>
  <si>
    <t>Joint venture</t>
  </si>
  <si>
    <t>Investment in subsidiary</t>
  </si>
  <si>
    <t>Balance as at end of period 30 June 2005</t>
  </si>
  <si>
    <t xml:space="preserve">   </t>
  </si>
  <si>
    <t>Balance as at end of period 30 June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</si>
</sst>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_-;\-* #,##0.00_-;_-* &quot;-&quot;??_-;_-@_-"/>
    <numFmt numFmtId="176" formatCode="_-* #,##0_-;\-* #,##0_-;_-* &quot;-&quot;??_-;_-@_-"/>
    <numFmt numFmtId="177" formatCode="_(* #,##0.0_);_(* \(#,##0.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65" fontId="0" fillId="0" borderId="0" xfId="21" applyNumberFormat="1" applyFont="1">
      <alignment/>
      <protection/>
    </xf>
    <xf numFmtId="165" fontId="0" fillId="0" borderId="3" xfId="21" applyNumberFormat="1" applyFont="1" applyBorder="1">
      <alignment/>
      <protection/>
    </xf>
    <xf numFmtId="165" fontId="0" fillId="0" borderId="0" xfId="21" applyNumberFormat="1" applyFont="1" applyBorder="1">
      <alignment/>
      <protection/>
    </xf>
    <xf numFmtId="165" fontId="1" fillId="0" borderId="6" xfId="21" applyNumberFormat="1" applyFont="1" applyBorder="1">
      <alignment/>
      <protection/>
    </xf>
    <xf numFmtId="165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21" applyNumberFormat="1" applyFont="1" applyBorder="1">
      <alignment/>
      <protection/>
    </xf>
    <xf numFmtId="43" fontId="0" fillId="0" borderId="0" xfId="15" applyNumberFormat="1" applyFont="1" applyFill="1" applyBorder="1" applyAlignment="1">
      <alignment horizontal="right"/>
    </xf>
    <xf numFmtId="0" fontId="1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June%202005%20-%20Q2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31062005 Q2YTD"/>
      <sheetName val="p&amp;l notes"/>
      <sheetName val="P&amp;L Q2"/>
      <sheetName val="bs line-up"/>
      <sheetName val="Consol adj"/>
      <sheetName val="current-p&amp;l"/>
      <sheetName val="current-bs"/>
      <sheetName val="Interco"/>
      <sheetName val="segmental"/>
      <sheetName val="Consol Jurnal"/>
      <sheetName val="audit consol adj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11">
          <cell r="U11">
            <v>44245865.370000005</v>
          </cell>
        </row>
        <row r="18">
          <cell r="U18">
            <v>-33026339.899999995</v>
          </cell>
        </row>
        <row r="22">
          <cell r="U22">
            <v>833469.0399999999</v>
          </cell>
        </row>
        <row r="23">
          <cell r="U23">
            <v>-611910.9500000001</v>
          </cell>
        </row>
        <row r="24">
          <cell r="U24">
            <v>0</v>
          </cell>
        </row>
        <row r="25">
          <cell r="U25">
            <v>-564263.6</v>
          </cell>
        </row>
        <row r="26">
          <cell r="U26">
            <v>-6460126.52</v>
          </cell>
        </row>
        <row r="27">
          <cell r="U27">
            <v>-262303.02</v>
          </cell>
        </row>
        <row r="33">
          <cell r="U33">
            <v>-821969.05</v>
          </cell>
        </row>
        <row r="37">
          <cell r="U37">
            <v>-1413264.8910000012</v>
          </cell>
        </row>
        <row r="40">
          <cell r="U40">
            <v>-1012285.2767674999</v>
          </cell>
        </row>
      </sheetData>
      <sheetData sheetId="17">
        <row r="11">
          <cell r="U11">
            <v>19548778.59</v>
          </cell>
        </row>
        <row r="18">
          <cell r="U18">
            <v>-13354385.929699998</v>
          </cell>
        </row>
        <row r="22">
          <cell r="U22">
            <v>339367.48000000004</v>
          </cell>
        </row>
        <row r="23">
          <cell r="U23">
            <v>-305322.09</v>
          </cell>
        </row>
        <row r="24">
          <cell r="U24">
            <v>0</v>
          </cell>
        </row>
        <row r="25">
          <cell r="U25">
            <v>-267822.05</v>
          </cell>
        </row>
        <row r="26">
          <cell r="U26">
            <v>-3641172.259999999</v>
          </cell>
        </row>
        <row r="27">
          <cell r="U27">
            <v>-116239.92</v>
          </cell>
        </row>
        <row r="33">
          <cell r="U33">
            <v>-433989.4</v>
          </cell>
        </row>
        <row r="37">
          <cell r="U37">
            <v>-926937.1126840014</v>
          </cell>
        </row>
        <row r="40">
          <cell r="U40">
            <v>-147183.28293999986</v>
          </cell>
        </row>
      </sheetData>
      <sheetData sheetId="18">
        <row r="9">
          <cell r="U9">
            <v>46797679</v>
          </cell>
        </row>
        <row r="10">
          <cell r="U10">
            <v>9388308.23</v>
          </cell>
        </row>
        <row r="11">
          <cell r="U11">
            <v>29994</v>
          </cell>
        </row>
        <row r="12">
          <cell r="U12">
            <v>5854707.672232503</v>
          </cell>
        </row>
        <row r="15">
          <cell r="U15">
            <v>4125198.8067675</v>
          </cell>
        </row>
        <row r="18">
          <cell r="U18">
            <v>161377</v>
          </cell>
        </row>
        <row r="19">
          <cell r="U19">
            <v>208467</v>
          </cell>
        </row>
        <row r="20">
          <cell r="U20">
            <v>6399274.53</v>
          </cell>
        </row>
        <row r="28">
          <cell r="U28">
            <v>8545816.11</v>
          </cell>
        </row>
        <row r="30">
          <cell r="U30">
            <v>5950</v>
          </cell>
        </row>
        <row r="34">
          <cell r="U34">
            <v>325000</v>
          </cell>
        </row>
        <row r="36">
          <cell r="U36">
            <v>5626571</v>
          </cell>
        </row>
        <row r="38">
          <cell r="U38">
            <v>73053494.04</v>
          </cell>
        </row>
        <row r="39">
          <cell r="U39">
            <v>12065079</v>
          </cell>
        </row>
        <row r="40">
          <cell r="U40">
            <v>8165103.83</v>
          </cell>
        </row>
        <row r="41">
          <cell r="U41">
            <v>26538077.37</v>
          </cell>
        </row>
        <row r="42">
          <cell r="U42">
            <v>7148284.410000001</v>
          </cell>
        </row>
        <row r="46">
          <cell r="U46">
            <v>4010221.88</v>
          </cell>
        </row>
        <row r="47">
          <cell r="U47">
            <v>9556085.030000001</v>
          </cell>
        </row>
        <row r="50">
          <cell r="U50">
            <v>14710147.66</v>
          </cell>
        </row>
        <row r="53">
          <cell r="U53">
            <v>996500</v>
          </cell>
        </row>
        <row r="55">
          <cell r="U55">
            <v>19178779.560000002</v>
          </cell>
        </row>
        <row r="56">
          <cell r="U56">
            <v>19509020.89</v>
          </cell>
        </row>
        <row r="57">
          <cell r="U57">
            <v>0</v>
          </cell>
        </row>
        <row r="58">
          <cell r="U58">
            <v>93021.68</v>
          </cell>
        </row>
        <row r="59">
          <cell r="U59">
            <v>0</v>
          </cell>
        </row>
        <row r="60">
          <cell r="U60">
            <v>110000</v>
          </cell>
        </row>
        <row r="61">
          <cell r="U61">
            <v>1167187.6500000001</v>
          </cell>
        </row>
        <row r="62">
          <cell r="U62">
            <v>15688514.579999998</v>
          </cell>
        </row>
        <row r="63">
          <cell r="U63">
            <v>2663681.2900000005</v>
          </cell>
        </row>
        <row r="64">
          <cell r="U64">
            <v>7957821.1285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workbookViewId="0" topLeftCell="A25">
      <selection activeCell="F44" sqref="F44"/>
    </sheetView>
  </sheetViews>
  <sheetFormatPr defaultColWidth="9.140625" defaultRowHeight="12.75"/>
  <cols>
    <col min="1" max="1" width="28.421875" style="3" customWidth="1"/>
    <col min="2" max="2" width="16.71093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6.710937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83</v>
      </c>
      <c r="C3" s="16"/>
      <c r="E3" s="16"/>
      <c r="G3" s="16"/>
    </row>
    <row r="4" spans="1:7" s="2" customFormat="1" ht="15.75">
      <c r="A4" s="2" t="s">
        <v>136</v>
      </c>
      <c r="C4" s="16"/>
      <c r="E4" s="16"/>
      <c r="G4" s="16"/>
    </row>
    <row r="7" spans="2:8" s="7" customFormat="1" ht="12.75">
      <c r="B7" s="8">
        <v>2005</v>
      </c>
      <c r="C7" s="8"/>
      <c r="D7" s="8">
        <v>2004</v>
      </c>
      <c r="E7" s="8"/>
      <c r="F7" s="8">
        <v>2005</v>
      </c>
      <c r="G7" s="8"/>
      <c r="H7" s="8">
        <v>2004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1" t="s">
        <v>137</v>
      </c>
      <c r="C12" s="18"/>
      <c r="D12" s="41" t="s">
        <v>138</v>
      </c>
      <c r="E12" s="18"/>
      <c r="F12" s="41" t="s">
        <v>137</v>
      </c>
      <c r="G12" s="18"/>
      <c r="H12" s="41" t="s">
        <v>138</v>
      </c>
    </row>
    <row r="13" spans="2:8" s="9" customFormat="1" ht="12">
      <c r="B13" s="17" t="s">
        <v>49</v>
      </c>
      <c r="C13" s="17"/>
      <c r="D13" s="17" t="s">
        <v>49</v>
      </c>
      <c r="E13" s="17"/>
      <c r="F13" s="17" t="s">
        <v>49</v>
      </c>
      <c r="G13" s="17"/>
      <c r="H13" s="17" t="s">
        <v>49</v>
      </c>
    </row>
    <row r="14" s="9" customFormat="1" ht="12"/>
    <row r="15" spans="1:8" s="12" customFormat="1" ht="12.75">
      <c r="A15" s="10" t="s">
        <v>7</v>
      </c>
      <c r="B15" s="11">
        <f>'[2]P&amp;L Q2'!$U$11/1000</f>
        <v>19548.778589999998</v>
      </c>
      <c r="C15" s="11"/>
      <c r="D15" s="11">
        <v>11966</v>
      </c>
      <c r="E15" s="11"/>
      <c r="F15" s="11">
        <f>'[2]P&amp;L 31062005 Q2YTD'!$U$11/1000</f>
        <v>44245.86537000001</v>
      </c>
      <c r="G15" s="11"/>
      <c r="H15" s="11">
        <v>52044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32</v>
      </c>
      <c r="B17" s="24">
        <f>'[2]P&amp;L Q2'!$U$18/1000+0.5</f>
        <v>-13353.885929699998</v>
      </c>
      <c r="C17" s="11"/>
      <c r="D17" s="42">
        <v>-8843</v>
      </c>
      <c r="E17" s="11"/>
      <c r="F17" s="24">
        <f>'[2]P&amp;L 31062005 Q2YTD'!$U$18/1000</f>
        <v>-33026.33989999999</v>
      </c>
      <c r="G17" s="11"/>
      <c r="H17" s="24">
        <v>-46193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67</v>
      </c>
      <c r="B19" s="11">
        <f>SUM(B14:B18)</f>
        <v>6194.8926603</v>
      </c>
      <c r="C19" s="11"/>
      <c r="D19" s="11">
        <f>SUM(D14:D18)</f>
        <v>3123</v>
      </c>
      <c r="E19" s="11">
        <f>SUM(E14:E18)</f>
        <v>0</v>
      </c>
      <c r="F19" s="11">
        <f>SUM(F14:F18)</f>
        <v>11219.525470000015</v>
      </c>
      <c r="G19" s="11"/>
      <c r="H19" s="11">
        <f>SUM(H14:H18)</f>
        <v>5851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33</v>
      </c>
      <c r="B21" s="11">
        <f>'[2]P&amp;L Q2'!$U$22/1000</f>
        <v>339.36748000000006</v>
      </c>
      <c r="C21" s="11"/>
      <c r="D21" s="11">
        <v>1018</v>
      </c>
      <c r="E21" s="11"/>
      <c r="F21" s="11">
        <f>'[2]P&amp;L 31062005 Q2YTD'!$U$22/1000</f>
        <v>833.46904</v>
      </c>
      <c r="G21" s="11"/>
      <c r="H21" s="11">
        <v>2139</v>
      </c>
    </row>
    <row r="22" spans="1:8" s="12" customFormat="1" ht="12.75">
      <c r="A22" s="10" t="s">
        <v>50</v>
      </c>
      <c r="B22" s="11">
        <f>SUM('[2]P&amp;L Q2'!$U$23:$U$27)/1000-0.5</f>
        <v>-4331.056319999999</v>
      </c>
      <c r="C22" s="11"/>
      <c r="D22" s="40">
        <v>-2549</v>
      </c>
      <c r="E22" s="11"/>
      <c r="F22" s="11">
        <f>SUM('[2]P&amp;L 31062005 Q2YTD'!$U$23:$U$27)/1000</f>
        <v>-7898.60409</v>
      </c>
      <c r="G22" s="11"/>
      <c r="H22" s="11">
        <v>-5272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68</v>
      </c>
      <c r="B25" s="13">
        <f>SUM(B19:B24)</f>
        <v>2203.203820300001</v>
      </c>
      <c r="C25" s="13"/>
      <c r="D25" s="13">
        <f>SUM(D19:D24)</f>
        <v>1592</v>
      </c>
      <c r="E25" s="13">
        <f>SUM(E19:E24)</f>
        <v>0</v>
      </c>
      <c r="F25" s="13">
        <f>SUM(F19:F24)</f>
        <v>4154.390420000015</v>
      </c>
      <c r="G25" s="13"/>
      <c r="H25" s="13">
        <f>SUM(H19:H24)</f>
        <v>2718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34</v>
      </c>
      <c r="B28" s="11">
        <f>'[2]P&amp;L Q2'!$U$33/1000</f>
        <v>-433.98940000000005</v>
      </c>
      <c r="C28" s="11"/>
      <c r="D28" s="11">
        <v>-421</v>
      </c>
      <c r="E28" s="11"/>
      <c r="F28" s="11">
        <f>'[2]P&amp;L 31062005 Q2YTD'!$U$33/1000</f>
        <v>-821.96905</v>
      </c>
      <c r="G28" s="11"/>
      <c r="H28" s="11">
        <v>-928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>
      <c r="A30" s="10" t="s">
        <v>37</v>
      </c>
      <c r="B30" s="24">
        <f>F30</f>
        <v>0</v>
      </c>
      <c r="C30" s="11"/>
      <c r="D30" s="24">
        <v>-44</v>
      </c>
      <c r="E30" s="11"/>
      <c r="F30" s="24">
        <f>'[1]P&amp;L 31032005 (2)'!$U$34/100</f>
        <v>0</v>
      </c>
      <c r="G30" s="11"/>
      <c r="H30" s="24">
        <v>-103</v>
      </c>
    </row>
    <row r="31" spans="1:8" s="12" customFormat="1" ht="12.75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79</v>
      </c>
      <c r="B32" s="11">
        <f>SUM(B25:B30)</f>
        <v>1769.2144203000012</v>
      </c>
      <c r="C32" s="11"/>
      <c r="D32" s="11">
        <f>SUM(D25:D30)</f>
        <v>1127</v>
      </c>
      <c r="E32" s="11"/>
      <c r="F32" s="11">
        <f>SUM(F25:F30)</f>
        <v>3332.421370000015</v>
      </c>
      <c r="G32" s="11"/>
      <c r="H32" s="11">
        <f>SUM(H25:H30)</f>
        <v>1687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35</v>
      </c>
      <c r="B34" s="24">
        <f>'[2]P&amp;L Q2'!$U$37/1000</f>
        <v>-926.9371126840015</v>
      </c>
      <c r="C34" s="11"/>
      <c r="D34" s="24">
        <v>-289</v>
      </c>
      <c r="E34" s="11"/>
      <c r="F34" s="24">
        <f>'[2]P&amp;L 31062005 Q2YTD'!$U$37/1000</f>
        <v>-1413.2648910000012</v>
      </c>
      <c r="G34" s="11"/>
      <c r="H34" s="24">
        <v>-490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80</v>
      </c>
      <c r="B36" s="11">
        <f>SUM(B32:B35)</f>
        <v>842.2773076159997</v>
      </c>
      <c r="C36" s="11"/>
      <c r="D36" s="11">
        <f>SUM(D32:D35)</f>
        <v>838</v>
      </c>
      <c r="E36" s="11"/>
      <c r="F36" s="11">
        <f>SUM(F32:F35)</f>
        <v>1919.1564790000139</v>
      </c>
      <c r="G36" s="11"/>
      <c r="H36" s="11">
        <f>SUM(H32:H35)</f>
        <v>1197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36</v>
      </c>
      <c r="B38" s="24">
        <f>'[2]P&amp;L Q2'!$U$40/1000</f>
        <v>-147.18328293999986</v>
      </c>
      <c r="C38" s="11"/>
      <c r="D38" s="24">
        <v>-707</v>
      </c>
      <c r="E38" s="11"/>
      <c r="F38" s="24">
        <f>'[2]P&amp;L 31062005 Q2YTD'!$U$40/1000</f>
        <v>-1012.2852767674999</v>
      </c>
      <c r="G38" s="11"/>
      <c r="H38" s="24">
        <v>-941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81</v>
      </c>
      <c r="B40" s="26">
        <f>SUM(B36:B39)</f>
        <v>695.0940246759999</v>
      </c>
      <c r="C40" s="11"/>
      <c r="D40" s="26">
        <f>SUM(D36:D39)</f>
        <v>131</v>
      </c>
      <c r="E40" s="11"/>
      <c r="F40" s="26">
        <f>SUM(F36:F39)</f>
        <v>906.871202232514</v>
      </c>
      <c r="G40" s="11"/>
      <c r="H40" s="26">
        <f>SUM(H36:H39)</f>
        <v>256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130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53</v>
      </c>
      <c r="B43" s="50">
        <f>+(B40/44643)*100</f>
        <v>1.5570056328562147</v>
      </c>
      <c r="C43" s="50"/>
      <c r="D43" s="50">
        <f>+(D40/41482)*100</f>
        <v>0.31579962393327227</v>
      </c>
      <c r="E43" s="50"/>
      <c r="F43" s="50">
        <f>+(F40/44643)*100</f>
        <v>2.031384992568855</v>
      </c>
      <c r="G43" s="28"/>
      <c r="H43" s="28">
        <f>+(H40/41482)*100</f>
        <v>0.6171351429535702</v>
      </c>
    </row>
    <row r="44" spans="1:8" s="12" customFormat="1" ht="12.75">
      <c r="A44" s="10" t="s">
        <v>54</v>
      </c>
      <c r="B44" s="47">
        <f>(B40/45949)*100+0.01</f>
        <v>1.5227511473067965</v>
      </c>
      <c r="C44" s="47"/>
      <c r="D44" s="47">
        <f>(D40/43177)*100</f>
        <v>0.3034022743590337</v>
      </c>
      <c r="E44" s="47"/>
      <c r="F44" s="47">
        <f>(F40/45949)*100+0.01</f>
        <v>1.9836473094790181</v>
      </c>
      <c r="G44" s="29"/>
      <c r="H44" s="47">
        <f>(H40/43177)*100</f>
        <v>0.5929082613428446</v>
      </c>
    </row>
    <row r="45" s="12" customFormat="1" ht="12.75"/>
    <row r="46" s="12" customFormat="1" ht="12.75">
      <c r="A46" s="12" t="s">
        <v>91</v>
      </c>
    </row>
    <row r="47" s="12" customFormat="1" ht="12.75">
      <c r="A47" s="12" t="s">
        <v>127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39" right="0.19" top="1" bottom="1" header="0.5" footer="0.5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34">
      <selection activeCell="B40" sqref="B40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86</v>
      </c>
      <c r="C3" s="16"/>
      <c r="D3" s="16"/>
      <c r="E3" s="16"/>
    </row>
    <row r="4" spans="1:5" s="2" customFormat="1" ht="15.75">
      <c r="A4" s="2" t="s">
        <v>139</v>
      </c>
      <c r="C4" s="16"/>
      <c r="D4" s="16"/>
      <c r="E4" s="16"/>
    </row>
    <row r="6" spans="3:5" s="1" customFormat="1" ht="12.75">
      <c r="C6" s="17" t="s">
        <v>38</v>
      </c>
      <c r="D6" s="17"/>
      <c r="E6" s="17" t="s">
        <v>39</v>
      </c>
    </row>
    <row r="7" spans="3:5" s="1" customFormat="1" ht="12.75">
      <c r="C7" s="41" t="s">
        <v>137</v>
      </c>
      <c r="D7" s="18"/>
      <c r="E7" s="41" t="s">
        <v>92</v>
      </c>
    </row>
    <row r="8" spans="3:5" s="1" customFormat="1" ht="12.75">
      <c r="C8" s="17" t="s">
        <v>49</v>
      </c>
      <c r="D8" s="17"/>
      <c r="E8" s="17" t="s">
        <v>49</v>
      </c>
    </row>
    <row r="10" spans="1:5" ht="12.75">
      <c r="A10" s="1" t="s">
        <v>23</v>
      </c>
      <c r="C10" s="11">
        <f>'[2]bs line-up'!$U$28/1000</f>
        <v>8545.81611</v>
      </c>
      <c r="D10" s="11"/>
      <c r="E10" s="11">
        <v>8061</v>
      </c>
    </row>
    <row r="11" spans="1:5" ht="12.75">
      <c r="A11" s="1" t="s">
        <v>24</v>
      </c>
      <c r="C11" s="11">
        <f>'[2]bs line-up'!$U$34/1000</f>
        <v>325</v>
      </c>
      <c r="D11" s="11"/>
      <c r="E11" s="11">
        <v>325</v>
      </c>
    </row>
    <row r="12" spans="1:5" ht="12.75">
      <c r="A12" s="1" t="s">
        <v>129</v>
      </c>
      <c r="C12" s="11">
        <f>'[2]bs line-up'!$U$50/1000</f>
        <v>14710.14766</v>
      </c>
      <c r="D12" s="11"/>
      <c r="E12" s="11">
        <v>5024</v>
      </c>
    </row>
    <row r="13" spans="1:5" ht="12.75">
      <c r="A13" s="1" t="s">
        <v>88</v>
      </c>
      <c r="C13" s="11">
        <f>'[2]bs line-up'!$U$36/1000</f>
        <v>5626.571</v>
      </c>
      <c r="D13" s="11"/>
      <c r="E13" s="11">
        <v>5627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25</v>
      </c>
      <c r="C17" s="11">
        <f>'[2]bs line-up'!$U$39/1000-'[2]bs line-up'!$U$53/1000</f>
        <v>11068.579</v>
      </c>
      <c r="D17" s="11"/>
      <c r="E17" s="11">
        <v>7940</v>
      </c>
    </row>
    <row r="18" spans="2:5" ht="12.75">
      <c r="B18" s="3" t="s">
        <v>29</v>
      </c>
      <c r="C18" s="49">
        <f>'[2]bs line-up'!$U$38/1000-C12*2</f>
        <v>43633.19872</v>
      </c>
      <c r="D18" s="11"/>
      <c r="E18" s="11">
        <v>47048</v>
      </c>
    </row>
    <row r="19" spans="2:5" ht="12.75">
      <c r="B19" s="3" t="s">
        <v>28</v>
      </c>
      <c r="C19" s="11">
        <f>'[2]bs line-up'!$U$40/1000</f>
        <v>8165.10383</v>
      </c>
      <c r="D19" s="11"/>
      <c r="E19" s="11">
        <v>8030</v>
      </c>
    </row>
    <row r="20" spans="2:5" ht="12.75">
      <c r="B20" s="3" t="s">
        <v>11</v>
      </c>
      <c r="C20" s="11">
        <f>SUM('[2]bs line-up'!$U$41:$U$42)/1000+'[2]bs line-up'!$U$30/1000</f>
        <v>33692.311779999996</v>
      </c>
      <c r="D20" s="11"/>
      <c r="E20" s="11">
        <f>30853+7</f>
        <v>30860</v>
      </c>
    </row>
    <row r="21" spans="2:5" ht="12.75">
      <c r="B21" s="3" t="s">
        <v>26</v>
      </c>
      <c r="C21" s="11">
        <f>SUM('[2]bs line-up'!$U$46:$U$47)/1000-0.5</f>
        <v>13565.80691</v>
      </c>
      <c r="D21" s="11"/>
      <c r="E21" s="11">
        <v>10133</v>
      </c>
    </row>
    <row r="22" spans="3:5" ht="12.75">
      <c r="C22" s="19">
        <f>SUM(C17:C21)</f>
        <v>110125.00024</v>
      </c>
      <c r="D22" s="11"/>
      <c r="E22" s="19">
        <f>SUM(E17:E21)</f>
        <v>104011</v>
      </c>
    </row>
    <row r="23" spans="3:5" ht="12.75">
      <c r="C23" s="11"/>
      <c r="D23" s="11"/>
      <c r="E23" s="11"/>
    </row>
    <row r="24" spans="1:5" ht="12.75">
      <c r="A24" s="1" t="s">
        <v>12</v>
      </c>
      <c r="C24" s="11"/>
      <c r="D24" s="11"/>
      <c r="E24" s="11"/>
    </row>
    <row r="25" spans="2:5" ht="12.75">
      <c r="B25" s="3" t="s">
        <v>13</v>
      </c>
      <c r="C25" s="11">
        <f>SUM('[2]bs line-up'!$U$55:$U$61)/1000</f>
        <v>40058.00978</v>
      </c>
      <c r="D25" s="11"/>
      <c r="E25" s="11">
        <v>37555</v>
      </c>
    </row>
    <row r="26" spans="2:5" ht="12.75">
      <c r="B26" s="3" t="s">
        <v>22</v>
      </c>
      <c r="C26" s="49">
        <f>SUM('[2]bs line-up'!$U$62:$U$63)/1000</f>
        <v>18352.195869999996</v>
      </c>
      <c r="D26" s="11"/>
      <c r="E26" s="11">
        <v>14396</v>
      </c>
    </row>
    <row r="27" spans="2:5" ht="12.75">
      <c r="B27" s="3" t="s">
        <v>8</v>
      </c>
      <c r="C27" s="11">
        <f>'[2]bs line-up'!$U$64/1000</f>
        <v>7957.8211285</v>
      </c>
      <c r="D27" s="11"/>
      <c r="E27" s="11">
        <v>7068</v>
      </c>
    </row>
    <row r="28" spans="3:5" ht="12.75">
      <c r="C28" s="19">
        <f>SUM(C24:C27)</f>
        <v>66368.0267785</v>
      </c>
      <c r="D28" s="11"/>
      <c r="E28" s="19">
        <f>SUM(E24:E27)</f>
        <v>59019</v>
      </c>
    </row>
    <row r="29" spans="3:5" ht="12.75">
      <c r="C29" s="11"/>
      <c r="D29" s="11"/>
      <c r="E29" s="11"/>
    </row>
    <row r="30" spans="1:5" ht="12.75">
      <c r="A30" s="1" t="s">
        <v>55</v>
      </c>
      <c r="C30" s="11">
        <f>+C22-C28</f>
        <v>43756.97346149999</v>
      </c>
      <c r="D30" s="11"/>
      <c r="E30" s="11">
        <f>+E22-+E28</f>
        <v>44992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72964.50823149999</v>
      </c>
      <c r="D32" s="39"/>
      <c r="E32" s="23">
        <f>+E30+SUM(E9:E14)</f>
        <v>64029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15</v>
      </c>
      <c r="C34" s="11">
        <f>'[2]bs line-up'!$U$9/1000</f>
        <v>46797.679</v>
      </c>
      <c r="D34" s="11"/>
      <c r="E34" s="11">
        <v>42415</v>
      </c>
    </row>
    <row r="35" spans="1:5" ht="12.75">
      <c r="A35" s="3" t="s">
        <v>16</v>
      </c>
      <c r="C35" s="11" t="s">
        <v>0</v>
      </c>
      <c r="D35" s="11"/>
      <c r="E35" s="11"/>
    </row>
    <row r="36" spans="2:5" ht="12.75">
      <c r="B36" s="3" t="s">
        <v>17</v>
      </c>
      <c r="C36" s="11">
        <f>'[2]bs line-up'!$U$10/1000</f>
        <v>9388.30823</v>
      </c>
      <c r="D36" s="11"/>
      <c r="E36" s="11">
        <v>7687</v>
      </c>
    </row>
    <row r="37" spans="2:5" ht="12.75">
      <c r="B37" s="3" t="s">
        <v>18</v>
      </c>
      <c r="C37" s="11">
        <f>'[2]bs line-up'!$U$12/1000</f>
        <v>5854.707672232503</v>
      </c>
      <c r="D37" s="11"/>
      <c r="E37" s="11">
        <v>4948</v>
      </c>
    </row>
    <row r="38" spans="2:5" ht="12.75">
      <c r="B38" s="3" t="s">
        <v>19</v>
      </c>
      <c r="C38" s="24">
        <f>'[2]bs line-up'!$U$11/1000</f>
        <v>29.994</v>
      </c>
      <c r="D38" s="11"/>
      <c r="E38" s="24">
        <v>30</v>
      </c>
    </row>
    <row r="39" spans="1:5" ht="12.75">
      <c r="A39" s="1" t="s">
        <v>14</v>
      </c>
      <c r="C39" s="11">
        <f>SUM(C34:C38)</f>
        <v>62070.6889022325</v>
      </c>
      <c r="D39" s="11"/>
      <c r="E39" s="11">
        <f>SUM(E34:E38)</f>
        <v>55080</v>
      </c>
    </row>
    <row r="40" spans="3:5" ht="12.75">
      <c r="C40" s="11"/>
      <c r="D40" s="11"/>
      <c r="E40" s="11"/>
    </row>
    <row r="41" spans="1:5" ht="12.75">
      <c r="A41" s="1" t="s">
        <v>20</v>
      </c>
      <c r="C41" s="11">
        <f>'[2]bs line-up'!$U$15/1000</f>
        <v>4125.1988067675</v>
      </c>
      <c r="D41" s="11"/>
      <c r="E41" s="11">
        <v>4004</v>
      </c>
    </row>
    <row r="42" spans="3:5" ht="12.75">
      <c r="C42" s="11"/>
      <c r="D42" s="11"/>
      <c r="E42" s="11"/>
    </row>
    <row r="43" spans="1:5" ht="12.75">
      <c r="A43" s="1" t="s">
        <v>27</v>
      </c>
      <c r="C43" s="11">
        <f>'[2]bs line-up'!$U$19/1000+0.45</f>
        <v>208.917</v>
      </c>
      <c r="D43" s="11"/>
      <c r="E43" s="11">
        <v>1104</v>
      </c>
    </row>
    <row r="44" spans="1:5" ht="12.75">
      <c r="A44" s="1" t="s">
        <v>21</v>
      </c>
      <c r="C44" s="11">
        <f>'[2]bs line-up'!$U$20/1000</f>
        <v>6399.274530000001</v>
      </c>
      <c r="D44" s="11"/>
      <c r="E44" s="11">
        <v>3680</v>
      </c>
    </row>
    <row r="45" spans="1:5" ht="12.75">
      <c r="A45" s="1" t="s">
        <v>87</v>
      </c>
      <c r="C45" s="11">
        <f>'[2]bs line-up'!$U$18/1000</f>
        <v>161.377</v>
      </c>
      <c r="D45" s="11"/>
      <c r="E45" s="11">
        <v>161</v>
      </c>
    </row>
    <row r="46" spans="3:5" ht="12.75">
      <c r="C46" s="11"/>
      <c r="D46" s="11"/>
      <c r="E46" s="11"/>
    </row>
    <row r="47" spans="3:5" s="1" customFormat="1" ht="13.5" thickBot="1">
      <c r="C47" s="23">
        <f>SUM(C39:C46)</f>
        <v>72965.45623899999</v>
      </c>
      <c r="D47" s="39"/>
      <c r="E47" s="23">
        <f>SUM(E39:E46)</f>
        <v>64029</v>
      </c>
    </row>
    <row r="48" spans="3:5" s="1" customFormat="1" ht="13.5" thickTop="1">
      <c r="C48" s="39"/>
      <c r="D48" s="39"/>
      <c r="E48" s="39"/>
    </row>
    <row r="49" spans="3:5" s="1" customFormat="1" ht="12.75">
      <c r="C49" s="48"/>
      <c r="D49" s="39"/>
      <c r="E49" s="39"/>
    </row>
    <row r="50" spans="3:5" ht="12.75">
      <c r="C50" s="11"/>
      <c r="D50" s="11"/>
      <c r="E50" s="11"/>
    </row>
    <row r="51" s="12" customFormat="1" ht="12.75">
      <c r="A51" s="12" t="s">
        <v>91</v>
      </c>
    </row>
    <row r="52" s="12" customFormat="1" ht="12.75">
      <c r="A52" s="12" t="s">
        <v>127</v>
      </c>
    </row>
    <row r="53" ht="12.75">
      <c r="A53" s="44"/>
    </row>
    <row r="55" spans="3:5" ht="12.75">
      <c r="C55" s="11">
        <f>+C47-C32</f>
        <v>0.9480075000028592</v>
      </c>
      <c r="D55" s="11"/>
      <c r="E55" s="11">
        <f>+E47-E32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61">
      <selection activeCell="H69" sqref="H69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82</v>
      </c>
    </row>
    <row r="3" ht="15.75">
      <c r="A3" s="2" t="s">
        <v>140</v>
      </c>
    </row>
    <row r="4" ht="12.75">
      <c r="A4" s="1"/>
    </row>
    <row r="5" spans="11:13" ht="12.75">
      <c r="K5" s="55">
        <v>38533</v>
      </c>
      <c r="M5" s="55">
        <v>38168</v>
      </c>
    </row>
    <row r="6" spans="11:13" ht="12.75">
      <c r="K6" s="8" t="s">
        <v>49</v>
      </c>
      <c r="M6" s="8" t="s">
        <v>49</v>
      </c>
    </row>
    <row r="7" ht="12.75">
      <c r="K7" s="56"/>
    </row>
    <row r="8" spans="1:11" ht="12.75">
      <c r="A8" s="1" t="s">
        <v>69</v>
      </c>
      <c r="K8" s="51"/>
    </row>
    <row r="9" spans="2:13" ht="12.75">
      <c r="B9" s="3" t="s">
        <v>121</v>
      </c>
      <c r="K9" s="51">
        <f>'P&amp;L'!F32</f>
        <v>3332.421370000015</v>
      </c>
      <c r="M9" s="51">
        <v>1687</v>
      </c>
    </row>
    <row r="10" spans="11:13" ht="12.75">
      <c r="K10" s="51"/>
      <c r="M10" s="51"/>
    </row>
    <row r="11" spans="2:13" ht="12.75">
      <c r="B11" s="3" t="s">
        <v>93</v>
      </c>
      <c r="K11" s="51"/>
      <c r="M11" s="51"/>
    </row>
    <row r="12" spans="3:13" ht="12.75">
      <c r="C12" s="3" t="s">
        <v>94</v>
      </c>
      <c r="K12" s="51">
        <v>612</v>
      </c>
      <c r="M12" s="51">
        <v>769</v>
      </c>
    </row>
    <row r="13" spans="3:13" ht="12.75">
      <c r="C13" s="3" t="s">
        <v>95</v>
      </c>
      <c r="K13" s="51">
        <v>0</v>
      </c>
      <c r="M13" s="51">
        <v>-380</v>
      </c>
    </row>
    <row r="14" spans="3:13" ht="12.75" hidden="1">
      <c r="C14" s="3" t="s">
        <v>96</v>
      </c>
      <c r="K14" s="51">
        <v>0</v>
      </c>
      <c r="M14" s="51">
        <v>0</v>
      </c>
    </row>
    <row r="15" spans="3:13" ht="12.75" hidden="1">
      <c r="C15" s="3" t="s">
        <v>89</v>
      </c>
      <c r="K15" s="51">
        <v>0</v>
      </c>
      <c r="M15" s="51">
        <v>0</v>
      </c>
    </row>
    <row r="16" spans="3:13" ht="12.75">
      <c r="C16" s="3" t="s">
        <v>70</v>
      </c>
      <c r="K16" s="57">
        <v>-251</v>
      </c>
      <c r="M16" s="51">
        <v>-105</v>
      </c>
    </row>
    <row r="17" spans="3:13" ht="12.75">
      <c r="C17" s="3" t="s">
        <v>97</v>
      </c>
      <c r="K17" s="57">
        <f>-'P&amp;L'!F28</f>
        <v>821.96905</v>
      </c>
      <c r="M17" s="51">
        <v>928</v>
      </c>
    </row>
    <row r="18" spans="3:13" ht="12.75">
      <c r="C18" s="3" t="s">
        <v>141</v>
      </c>
      <c r="K18" s="51">
        <v>0</v>
      </c>
      <c r="M18" s="51">
        <v>125</v>
      </c>
    </row>
    <row r="19" spans="3:13" ht="12.75">
      <c r="C19" s="3" t="s">
        <v>98</v>
      </c>
      <c r="K19" s="24">
        <v>0</v>
      </c>
      <c r="M19" s="24">
        <v>-130</v>
      </c>
    </row>
    <row r="20" spans="3:13" ht="14.25" customHeight="1" hidden="1">
      <c r="C20" s="3" t="s">
        <v>90</v>
      </c>
      <c r="K20" s="51">
        <v>0</v>
      </c>
      <c r="M20" s="51">
        <v>0</v>
      </c>
    </row>
    <row r="21" spans="3:13" ht="14.25" customHeight="1" hidden="1">
      <c r="C21" s="3" t="s">
        <v>99</v>
      </c>
      <c r="K21" s="51">
        <v>0</v>
      </c>
      <c r="M21" s="51">
        <v>0</v>
      </c>
    </row>
    <row r="22" spans="3:13" ht="14.25" customHeight="1" hidden="1">
      <c r="C22" s="3" t="s">
        <v>100</v>
      </c>
      <c r="K22" s="51">
        <v>0</v>
      </c>
      <c r="M22" s="51">
        <v>0</v>
      </c>
    </row>
    <row r="23" spans="3:13" ht="14.25" customHeight="1" hidden="1">
      <c r="C23" s="3" t="s">
        <v>122</v>
      </c>
      <c r="K23" s="24">
        <v>0</v>
      </c>
      <c r="M23" s="24">
        <v>0</v>
      </c>
    </row>
    <row r="24" spans="11:13" ht="12.75">
      <c r="K24" s="11"/>
      <c r="M24" s="11"/>
    </row>
    <row r="25" spans="2:13" ht="12.75">
      <c r="B25" s="3" t="s">
        <v>131</v>
      </c>
      <c r="K25" s="40">
        <f>SUM(K9:K24)</f>
        <v>4515.390420000015</v>
      </c>
      <c r="L25" s="52"/>
      <c r="M25" s="40">
        <f>SUM(M9:M24)</f>
        <v>2894</v>
      </c>
    </row>
    <row r="26" spans="11:13" ht="12.75">
      <c r="K26" s="51"/>
      <c r="M26" s="51"/>
    </row>
    <row r="27" spans="2:13" ht="12.75">
      <c r="B27" s="3" t="s">
        <v>119</v>
      </c>
      <c r="K27" s="51"/>
      <c r="M27" s="51"/>
    </row>
    <row r="28" spans="3:13" ht="12.75">
      <c r="C28" s="3" t="s">
        <v>28</v>
      </c>
      <c r="K28" s="11">
        <f>'BS'!E19-'BS'!C19</f>
        <v>-135.10383000000002</v>
      </c>
      <c r="L28" s="12"/>
      <c r="M28" s="11">
        <v>-3396</v>
      </c>
    </row>
    <row r="29" spans="3:13" ht="12.75">
      <c r="C29" s="3" t="s">
        <v>101</v>
      </c>
      <c r="K29" s="11">
        <f>'BS'!E17-'BS'!C17</f>
        <v>-3128.5789999999997</v>
      </c>
      <c r="L29" s="12"/>
      <c r="M29" s="11">
        <v>-880</v>
      </c>
    </row>
    <row r="30" spans="3:13" ht="12.75">
      <c r="C30" s="3" t="s">
        <v>77</v>
      </c>
      <c r="K30" s="40">
        <f>10384-36-5007</f>
        <v>5341</v>
      </c>
      <c r="L30" s="12"/>
      <c r="M30" s="11">
        <v>-764</v>
      </c>
    </row>
    <row r="31" spans="3:13" ht="12.75">
      <c r="C31" s="3" t="s">
        <v>142</v>
      </c>
      <c r="K31" s="40">
        <v>0</v>
      </c>
      <c r="L31" s="12"/>
      <c r="M31" s="11">
        <v>2766</v>
      </c>
    </row>
    <row r="32" spans="3:13" ht="12.75">
      <c r="C32" s="3" t="s">
        <v>102</v>
      </c>
      <c r="K32" s="11">
        <f>'BS'!E20-'BS'!C20</f>
        <v>-2832.3117799999964</v>
      </c>
      <c r="L32" s="12"/>
      <c r="M32" s="11">
        <v>11074</v>
      </c>
    </row>
    <row r="33" spans="3:13" ht="12.75">
      <c r="C33" s="3" t="s">
        <v>103</v>
      </c>
      <c r="K33" s="11">
        <f>-'BS'!E25+'BS'!C25</f>
        <v>2503.0097800000003</v>
      </c>
      <c r="L33" s="12"/>
      <c r="M33" s="11">
        <f>-7450+97</f>
        <v>-7353</v>
      </c>
    </row>
    <row r="34" spans="3:13" ht="12.75">
      <c r="C34" s="3" t="s">
        <v>120</v>
      </c>
      <c r="K34" s="24">
        <f>'BS'!E12-'BS'!C12</f>
        <v>-9686.14766</v>
      </c>
      <c r="L34" s="12"/>
      <c r="M34" s="24">
        <v>0</v>
      </c>
    </row>
    <row r="35" spans="3:13" ht="12.75" hidden="1">
      <c r="C35" s="3" t="s">
        <v>107</v>
      </c>
      <c r="K35" s="11">
        <v>0</v>
      </c>
      <c r="L35" s="12"/>
      <c r="M35" s="11">
        <v>0</v>
      </c>
    </row>
    <row r="36" spans="3:13" ht="12.75" hidden="1">
      <c r="C36" s="3" t="s">
        <v>78</v>
      </c>
      <c r="K36" s="24">
        <v>0</v>
      </c>
      <c r="L36" s="12"/>
      <c r="M36" s="24">
        <v>0</v>
      </c>
    </row>
    <row r="37" spans="11:13" ht="12.75">
      <c r="K37" s="11">
        <f>SUM(K28:K36)</f>
        <v>-7938.132489999996</v>
      </c>
      <c r="L37" s="12"/>
      <c r="M37" s="11">
        <f>SUM(M28:M36)</f>
        <v>1447</v>
      </c>
    </row>
    <row r="38" spans="11:13" ht="12.75">
      <c r="K38" s="11"/>
      <c r="M38" s="11"/>
    </row>
    <row r="39" spans="2:13" ht="12.75">
      <c r="B39" s="3" t="s">
        <v>123</v>
      </c>
      <c r="K39" s="51">
        <f>+K25+K37</f>
        <v>-3422.742069999981</v>
      </c>
      <c r="M39" s="51">
        <f>+M25+M37</f>
        <v>4341</v>
      </c>
    </row>
    <row r="40" spans="11:13" ht="12.75">
      <c r="K40" s="51"/>
      <c r="M40" s="51"/>
    </row>
    <row r="41" spans="3:13" ht="12.75">
      <c r="C41" s="3" t="s">
        <v>104</v>
      </c>
      <c r="K41" s="11">
        <f>-'BS'!E27+'BS'!C27</f>
        <v>889.8211284999998</v>
      </c>
      <c r="L41" s="12"/>
      <c r="M41" s="11">
        <v>-366</v>
      </c>
    </row>
    <row r="42" spans="3:13" ht="12.75">
      <c r="C42" s="3" t="s">
        <v>71</v>
      </c>
      <c r="K42" s="40">
        <f>-K16</f>
        <v>251</v>
      </c>
      <c r="L42" s="12"/>
      <c r="M42" s="11">
        <v>105</v>
      </c>
    </row>
    <row r="43" spans="3:13" ht="12.75">
      <c r="C43" s="3" t="s">
        <v>72</v>
      </c>
      <c r="K43" s="42">
        <f>-K17</f>
        <v>-821.96905</v>
      </c>
      <c r="L43" s="12"/>
      <c r="M43" s="24">
        <v>-928</v>
      </c>
    </row>
    <row r="44" spans="11:13" ht="12.75">
      <c r="K44" s="11">
        <f>SUM(K41:K43)</f>
        <v>318.8520784999997</v>
      </c>
      <c r="L44" s="12"/>
      <c r="M44" s="11">
        <f>SUM(M41:M43)</f>
        <v>-1189</v>
      </c>
    </row>
    <row r="45" spans="11:13" ht="12.75">
      <c r="K45" s="51"/>
      <c r="M45" s="11"/>
    </row>
    <row r="46" spans="2:13" ht="12.75">
      <c r="B46" s="3" t="s">
        <v>124</v>
      </c>
      <c r="K46" s="24">
        <f>+K39+K44</f>
        <v>-3103.8899914999815</v>
      </c>
      <c r="M46" s="24">
        <f>+M39+M44</f>
        <v>3152</v>
      </c>
    </row>
    <row r="47" spans="11:13" ht="12.75">
      <c r="K47" s="11"/>
      <c r="M47" s="11"/>
    </row>
    <row r="48" spans="2:13" ht="12.75">
      <c r="B48" s="1" t="s">
        <v>73</v>
      </c>
      <c r="K48" s="51"/>
      <c r="M48" s="51"/>
    </row>
    <row r="49" spans="3:13" ht="12.75">
      <c r="C49" s="3" t="s">
        <v>74</v>
      </c>
      <c r="K49" s="51">
        <v>0</v>
      </c>
      <c r="M49" s="51">
        <v>-359</v>
      </c>
    </row>
    <row r="50" spans="3:13" ht="12.75">
      <c r="C50" s="3" t="s">
        <v>106</v>
      </c>
      <c r="K50" s="24">
        <v>0</v>
      </c>
      <c r="M50" s="24">
        <v>1533</v>
      </c>
    </row>
    <row r="52" spans="2:13" ht="12.75">
      <c r="B52" s="3" t="s">
        <v>125</v>
      </c>
      <c r="K52" s="11">
        <f>SUM(K49:K51)</f>
        <v>0</v>
      </c>
      <c r="M52" s="11">
        <f>SUM(M49:M51)</f>
        <v>1174</v>
      </c>
    </row>
    <row r="53" spans="11:13" ht="12.75">
      <c r="K53" s="51"/>
      <c r="M53" s="51"/>
    </row>
    <row r="54" spans="2:13" ht="12.75">
      <c r="B54" s="1" t="s">
        <v>75</v>
      </c>
      <c r="K54" s="51"/>
      <c r="M54" s="51"/>
    </row>
    <row r="55" spans="3:13" ht="12.75">
      <c r="C55" s="3" t="s">
        <v>108</v>
      </c>
      <c r="K55" s="51">
        <f>-'BS'!E43+'BS'!C43</f>
        <v>-895.083</v>
      </c>
      <c r="M55" s="51">
        <v>-1279</v>
      </c>
    </row>
    <row r="56" spans="3:13" ht="12.75">
      <c r="C56" s="3" t="s">
        <v>109</v>
      </c>
      <c r="K56" s="51">
        <f>'BS'!E44-'BS'!C44</f>
        <v>-2719.2745300000006</v>
      </c>
      <c r="M56" s="51">
        <f>-1401-8</f>
        <v>-1409</v>
      </c>
    </row>
    <row r="57" spans="3:13" ht="12.75">
      <c r="C57" s="3" t="s">
        <v>143</v>
      </c>
      <c r="K57" s="51">
        <v>0</v>
      </c>
      <c r="M57" s="51">
        <v>-5610</v>
      </c>
    </row>
    <row r="58" spans="3:13" ht="12.75">
      <c r="C58" s="3" t="s">
        <v>110</v>
      </c>
      <c r="K58" s="24">
        <f>SUM('BS'!C34:C36)-SUM('BS'!E34:E36)</f>
        <v>6083.987229999999</v>
      </c>
      <c r="M58" s="24">
        <v>4691</v>
      </c>
    </row>
    <row r="59" spans="3:13" ht="12.75" hidden="1">
      <c r="C59" s="3" t="s">
        <v>111</v>
      </c>
      <c r="K59" s="24">
        <v>0</v>
      </c>
      <c r="M59" s="24">
        <v>0</v>
      </c>
    </row>
    <row r="60" spans="11:13" ht="12.75">
      <c r="K60" s="51"/>
      <c r="M60" s="51"/>
    </row>
    <row r="61" spans="2:13" ht="12.75">
      <c r="B61" s="3" t="s">
        <v>126</v>
      </c>
      <c r="K61" s="11">
        <f>SUM(K55:K60)</f>
        <v>2469.629699999998</v>
      </c>
      <c r="L61" s="12"/>
      <c r="M61" s="11">
        <f>SUM(M55:M60)</f>
        <v>-3607</v>
      </c>
    </row>
    <row r="62" spans="11:13" ht="12.75">
      <c r="K62" s="51"/>
      <c r="M62" s="51"/>
    </row>
    <row r="63" spans="2:13" ht="12.75">
      <c r="B63" s="1" t="s">
        <v>133</v>
      </c>
      <c r="K63" s="51"/>
      <c r="M63" s="51"/>
    </row>
    <row r="64" spans="2:13" ht="12.75">
      <c r="B64" s="1" t="s">
        <v>112</v>
      </c>
      <c r="K64" s="51">
        <f>+K46+K52+K61</f>
        <v>-634.2602914999834</v>
      </c>
      <c r="M64" s="51">
        <f>+M46+M52+M61</f>
        <v>719</v>
      </c>
    </row>
    <row r="65" spans="2:13" ht="12.75">
      <c r="B65" s="1"/>
      <c r="K65" s="51"/>
      <c r="M65" s="51"/>
    </row>
    <row r="66" spans="2:13" ht="12.75">
      <c r="B66" s="1" t="s">
        <v>113</v>
      </c>
      <c r="K66" s="51"/>
      <c r="M66" s="51"/>
    </row>
    <row r="67" spans="2:13" ht="12.75">
      <c r="B67" s="1" t="s">
        <v>112</v>
      </c>
      <c r="K67" s="57">
        <v>-1488</v>
      </c>
      <c r="M67" s="51">
        <v>-361</v>
      </c>
    </row>
    <row r="68" spans="2:13" ht="12.75">
      <c r="B68" s="1"/>
      <c r="K68" s="51"/>
      <c r="M68" s="51"/>
    </row>
    <row r="69" spans="2:13" ht="12.75">
      <c r="B69" s="1" t="s">
        <v>114</v>
      </c>
      <c r="K69" s="51"/>
      <c r="M69" s="51"/>
    </row>
    <row r="70" spans="2:13" ht="13.5" thickBot="1">
      <c r="B70" s="1" t="s">
        <v>112</v>
      </c>
      <c r="K70" s="54">
        <f>SUM(K64:K67)</f>
        <v>-2122.2602914999834</v>
      </c>
      <c r="M70" s="54">
        <f>SUM(M64:M67)</f>
        <v>358</v>
      </c>
    </row>
    <row r="71" spans="11:13" ht="12.75">
      <c r="K71" s="51"/>
      <c r="M71" s="51"/>
    </row>
    <row r="72" spans="11:13" ht="12.75">
      <c r="K72" s="51"/>
      <c r="M72" s="51"/>
    </row>
    <row r="73" spans="2:13" ht="12.75">
      <c r="B73" s="3" t="s">
        <v>115</v>
      </c>
      <c r="K73" s="51"/>
      <c r="M73" s="51"/>
    </row>
    <row r="74" spans="3:13" ht="12.75">
      <c r="C74" s="3" t="s">
        <v>116</v>
      </c>
      <c r="K74" s="51">
        <v>9556</v>
      </c>
      <c r="M74" s="51">
        <v>4048</v>
      </c>
    </row>
    <row r="75" spans="3:13" ht="12.75">
      <c r="C75" s="3" t="s">
        <v>117</v>
      </c>
      <c r="K75" s="51">
        <v>4010</v>
      </c>
      <c r="M75" s="51">
        <v>0</v>
      </c>
    </row>
    <row r="76" spans="3:13" ht="12.75">
      <c r="C76" s="3" t="s">
        <v>118</v>
      </c>
      <c r="K76" s="51">
        <v>-15688</v>
      </c>
      <c r="M76" s="51">
        <v>-3690</v>
      </c>
    </row>
    <row r="77" spans="11:13" ht="13.5" thickBot="1">
      <c r="K77" s="53">
        <f>SUM(K74:K76)</f>
        <v>-2122</v>
      </c>
      <c r="M77" s="54">
        <f>SUM(M74:M76)</f>
        <v>358</v>
      </c>
    </row>
    <row r="78" spans="11:13" ht="12.75">
      <c r="K78" s="45"/>
      <c r="M78" s="11"/>
    </row>
    <row r="79" spans="11:13" ht="12.75">
      <c r="K79" s="45"/>
      <c r="M79" s="11"/>
    </row>
    <row r="80" spans="1:13" ht="12.75">
      <c r="A80" s="12" t="s">
        <v>105</v>
      </c>
      <c r="M80" s="51"/>
    </row>
    <row r="81" spans="1:13" ht="12.75">
      <c r="A81" s="12" t="s">
        <v>127</v>
      </c>
      <c r="M81" s="51"/>
    </row>
    <row r="82" ht="12.75">
      <c r="M82" s="51"/>
    </row>
    <row r="83" spans="11:13" ht="12.75">
      <c r="K83" s="58">
        <f>K70-K77</f>
        <v>-0.2602914999833956</v>
      </c>
      <c r="M83" s="51"/>
    </row>
  </sheetData>
  <printOptions/>
  <pageMargins left="0.5" right="0.1" top="0.7" bottom="0.3" header="0.5" footer="0.5"/>
  <pageSetup firstPageNumber="3" useFirstPageNumber="1" horizontalDpi="300" verticalDpi="300" orientation="portrait" paperSize="9" scale="8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workbookViewId="0" topLeftCell="A10">
      <selection activeCell="I26" sqref="I26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0.00390625" style="3" customWidth="1"/>
    <col min="4" max="4" width="0.71875" style="3" customWidth="1"/>
    <col min="5" max="5" width="14.7109375" style="3" customWidth="1"/>
    <col min="6" max="6" width="2.28125" style="3" customWidth="1"/>
    <col min="7" max="7" width="14.7109375" style="3" customWidth="1"/>
    <col min="8" max="8" width="2.28125" style="3" customWidth="1"/>
    <col min="9" max="9" width="14.7109375" style="3" customWidth="1"/>
    <col min="10" max="10" width="2.28125" style="3" customWidth="1"/>
    <col min="11" max="11" width="14.7109375" style="3" customWidth="1"/>
    <col min="12" max="12" width="2.28125" style="3" customWidth="1"/>
    <col min="13" max="13" width="14.7109375" style="3" customWidth="1"/>
    <col min="14" max="14" width="2.28125" style="3" customWidth="1"/>
    <col min="15" max="15" width="16.00390625" style="3" customWidth="1"/>
    <col min="16" max="19" width="9.2812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85</v>
      </c>
      <c r="B3" s="2"/>
    </row>
    <row r="4" spans="1:2" s="20" customFormat="1" ht="15.75">
      <c r="A4" s="2" t="s">
        <v>136</v>
      </c>
      <c r="B4" s="2"/>
    </row>
    <row r="5" spans="1:2" s="20" customFormat="1" ht="15.75">
      <c r="A5" s="2"/>
      <c r="B5" s="2"/>
    </row>
    <row r="7" spans="5:15" s="30" customFormat="1" ht="12.75">
      <c r="E7" s="31" t="s">
        <v>56</v>
      </c>
      <c r="F7" s="31"/>
      <c r="G7" s="31" t="s">
        <v>56</v>
      </c>
      <c r="H7" s="31"/>
      <c r="I7" s="31" t="s">
        <v>57</v>
      </c>
      <c r="J7" s="31"/>
      <c r="K7" s="31" t="s">
        <v>58</v>
      </c>
      <c r="L7" s="31"/>
      <c r="M7" s="31" t="s">
        <v>59</v>
      </c>
      <c r="N7" s="32"/>
      <c r="O7" s="32"/>
    </row>
    <row r="8" spans="5:15" s="30" customFormat="1" ht="12.75">
      <c r="E8" s="31" t="s">
        <v>57</v>
      </c>
      <c r="F8" s="31"/>
      <c r="G8" s="31" t="s">
        <v>60</v>
      </c>
      <c r="H8" s="31"/>
      <c r="I8" s="31" t="s">
        <v>61</v>
      </c>
      <c r="J8" s="31"/>
      <c r="K8" s="31" t="s">
        <v>62</v>
      </c>
      <c r="L8" s="31"/>
      <c r="M8" s="31" t="s">
        <v>63</v>
      </c>
      <c r="N8" s="32"/>
      <c r="O8" s="31" t="s">
        <v>40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3:15" s="30" customFormat="1" ht="12.75">
      <c r="C10" s="30" t="s">
        <v>145</v>
      </c>
      <c r="E10" s="31" t="s">
        <v>49</v>
      </c>
      <c r="F10" s="31"/>
      <c r="G10" s="31" t="s">
        <v>49</v>
      </c>
      <c r="H10" s="31"/>
      <c r="I10" s="31" t="s">
        <v>49</v>
      </c>
      <c r="J10" s="31"/>
      <c r="K10" s="31" t="s">
        <v>49</v>
      </c>
      <c r="L10" s="31"/>
      <c r="M10" s="31" t="s">
        <v>49</v>
      </c>
      <c r="N10" s="31"/>
      <c r="O10" s="31" t="s">
        <v>49</v>
      </c>
    </row>
    <row r="11" s="30" customFormat="1" ht="12.75"/>
    <row r="12" spans="5:15" s="30" customFormat="1" ht="12.75">
      <c r="E12" s="35"/>
      <c r="F12" s="33"/>
      <c r="G12" s="35"/>
      <c r="H12" s="33"/>
      <c r="I12" s="35"/>
      <c r="J12" s="33"/>
      <c r="K12" s="35"/>
      <c r="L12" s="33"/>
      <c r="M12" s="35"/>
      <c r="N12" s="33"/>
      <c r="O12" s="35"/>
    </row>
    <row r="13" spans="1:15" s="30" customFormat="1" ht="12.75">
      <c r="A13" s="30" t="s">
        <v>134</v>
      </c>
      <c r="E13" s="35">
        <v>42415</v>
      </c>
      <c r="F13" s="35"/>
      <c r="G13" s="35">
        <v>7687</v>
      </c>
      <c r="H13" s="35"/>
      <c r="I13" s="35">
        <v>30</v>
      </c>
      <c r="J13" s="35"/>
      <c r="K13" s="35">
        <v>0</v>
      </c>
      <c r="L13" s="35"/>
      <c r="M13" s="35">
        <v>4948</v>
      </c>
      <c r="N13" s="35"/>
      <c r="O13" s="33">
        <f>SUM(E13:M13)</f>
        <v>55080</v>
      </c>
    </row>
    <row r="14" spans="1:15" s="30" customFormat="1" ht="12.75">
      <c r="A14" s="30" t="s">
        <v>64</v>
      </c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f>SUM(E14:M14)</f>
        <v>0</v>
      </c>
    </row>
    <row r="15" spans="1:15" s="30" customFormat="1" ht="12.75">
      <c r="A15" s="30" t="s">
        <v>66</v>
      </c>
      <c r="E15" s="33">
        <v>0</v>
      </c>
      <c r="F15" s="33"/>
      <c r="G15" s="33">
        <v>0</v>
      </c>
      <c r="H15" s="33"/>
      <c r="I15" s="33">
        <v>0</v>
      </c>
      <c r="J15" s="33"/>
      <c r="K15" s="33">
        <v>0</v>
      </c>
      <c r="L15" s="33"/>
      <c r="M15" s="33">
        <v>0</v>
      </c>
      <c r="N15" s="33"/>
      <c r="O15" s="33">
        <f>SUM(E15:M15)</f>
        <v>0</v>
      </c>
    </row>
    <row r="16" spans="1:15" s="30" customFormat="1" ht="12.75">
      <c r="A16" s="30" t="s">
        <v>84</v>
      </c>
      <c r="E16" s="33">
        <v>4383</v>
      </c>
      <c r="F16" s="33"/>
      <c r="G16" s="33">
        <v>1701</v>
      </c>
      <c r="H16" s="33"/>
      <c r="I16" s="33">
        <v>0</v>
      </c>
      <c r="J16" s="33"/>
      <c r="K16" s="33">
        <v>0</v>
      </c>
      <c r="L16" s="33"/>
      <c r="M16" s="33">
        <v>0</v>
      </c>
      <c r="N16" s="33"/>
      <c r="O16" s="33">
        <f>SUM(E16:M16)</f>
        <v>6084</v>
      </c>
    </row>
    <row r="17" spans="1:15" s="30" customFormat="1" ht="12.75">
      <c r="A17" s="30" t="s">
        <v>132</v>
      </c>
      <c r="E17" s="34">
        <v>0</v>
      </c>
      <c r="F17" s="33"/>
      <c r="G17" s="34">
        <v>0</v>
      </c>
      <c r="H17" s="33"/>
      <c r="I17" s="34">
        <v>0</v>
      </c>
      <c r="J17" s="33"/>
      <c r="K17" s="34">
        <v>0</v>
      </c>
      <c r="L17" s="33"/>
      <c r="M17" s="34">
        <v>907</v>
      </c>
      <c r="N17" s="33"/>
      <c r="O17" s="34">
        <f>SUM(E17:M17)</f>
        <v>907</v>
      </c>
    </row>
    <row r="18" spans="5:15" s="30" customFormat="1" ht="12.75">
      <c r="E18" s="35"/>
      <c r="F18" s="33"/>
      <c r="G18" s="35"/>
      <c r="H18" s="33"/>
      <c r="I18" s="35"/>
      <c r="J18" s="33"/>
      <c r="K18" s="35"/>
      <c r="L18" s="33"/>
      <c r="M18" s="35"/>
      <c r="N18" s="33"/>
      <c r="O18" s="35"/>
    </row>
    <row r="19" spans="1:17" s="30" customFormat="1" ht="13.5" thickBot="1">
      <c r="A19" s="30" t="s">
        <v>144</v>
      </c>
      <c r="E19" s="36">
        <f>SUM(E13:E17)</f>
        <v>46798</v>
      </c>
      <c r="F19" s="37"/>
      <c r="G19" s="36">
        <f>SUM(G13:G17)</f>
        <v>9388</v>
      </c>
      <c r="H19" s="37"/>
      <c r="I19" s="36">
        <f>SUM(I13:I17)</f>
        <v>30</v>
      </c>
      <c r="J19" s="37"/>
      <c r="K19" s="36">
        <f>SUM(K13:K17)</f>
        <v>0</v>
      </c>
      <c r="L19" s="37"/>
      <c r="M19" s="36">
        <f>SUM(M13:M17)</f>
        <v>5855</v>
      </c>
      <c r="N19" s="37"/>
      <c r="O19" s="36">
        <f>SUM(O13:O17)</f>
        <v>62071</v>
      </c>
      <c r="P19" s="38"/>
      <c r="Q19" s="38"/>
    </row>
    <row r="20" spans="5:17" s="30" customFormat="1" ht="12.75">
      <c r="E20" s="46"/>
      <c r="F20" s="37"/>
      <c r="G20" s="46"/>
      <c r="H20" s="37"/>
      <c r="I20" s="46"/>
      <c r="J20" s="37"/>
      <c r="K20" s="46"/>
      <c r="L20" s="37"/>
      <c r="M20" s="46"/>
      <c r="N20" s="37"/>
      <c r="O20" s="46"/>
      <c r="P20" s="38"/>
      <c r="Q20" s="38"/>
    </row>
    <row r="21" spans="5:17" s="30" customFormat="1" ht="12.75">
      <c r="E21" s="46"/>
      <c r="F21" s="37"/>
      <c r="G21" s="46"/>
      <c r="H21" s="37"/>
      <c r="I21" s="46"/>
      <c r="J21" s="37"/>
      <c r="K21" s="46"/>
      <c r="L21" s="37"/>
      <c r="M21" s="46"/>
      <c r="N21" s="37"/>
      <c r="O21" s="46"/>
      <c r="P21" s="38"/>
      <c r="Q21" s="38"/>
    </row>
    <row r="22" spans="5:15" s="30" customFormat="1" ht="12.75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2.75">
      <c r="A23" s="30" t="s">
        <v>135</v>
      </c>
      <c r="E23" s="33">
        <v>39362</v>
      </c>
      <c r="F23" s="33"/>
      <c r="G23" s="33">
        <v>5959</v>
      </c>
      <c r="H23" s="33"/>
      <c r="I23" s="33">
        <v>30</v>
      </c>
      <c r="J23" s="33"/>
      <c r="K23" s="33">
        <v>130</v>
      </c>
      <c r="L23" s="33"/>
      <c r="M23" s="33">
        <v>3314</v>
      </c>
      <c r="N23" s="33"/>
      <c r="O23" s="33">
        <f>SUM(E23:M23)</f>
        <v>48795</v>
      </c>
    </row>
    <row r="24" spans="1:15" s="30" customFormat="1" ht="12.75">
      <c r="A24" s="30" t="s">
        <v>64</v>
      </c>
      <c r="E24" s="33">
        <v>0</v>
      </c>
      <c r="F24" s="33"/>
      <c r="G24" s="33">
        <v>0</v>
      </c>
      <c r="H24" s="33"/>
      <c r="I24" s="33">
        <v>0</v>
      </c>
      <c r="J24" s="33"/>
      <c r="K24" s="33">
        <v>-130</v>
      </c>
      <c r="L24" s="33"/>
      <c r="M24" s="33">
        <v>0</v>
      </c>
      <c r="N24" s="33"/>
      <c r="O24" s="35">
        <f>SUM(E24:M24)</f>
        <v>-130</v>
      </c>
    </row>
    <row r="25" spans="1:15" s="30" customFormat="1" ht="12.75">
      <c r="A25" s="30" t="s">
        <v>66</v>
      </c>
      <c r="E25" s="33">
        <v>0</v>
      </c>
      <c r="F25" s="33"/>
      <c r="G25" s="33">
        <v>0</v>
      </c>
      <c r="H25" s="33"/>
      <c r="I25" s="33">
        <v>0</v>
      </c>
      <c r="J25" s="33"/>
      <c r="K25" s="33">
        <v>0</v>
      </c>
      <c r="L25" s="33"/>
      <c r="M25" s="33">
        <v>0</v>
      </c>
      <c r="N25" s="33"/>
      <c r="O25" s="35">
        <f>SUM(E25:M25)</f>
        <v>0</v>
      </c>
    </row>
    <row r="26" spans="1:15" s="30" customFormat="1" ht="12.75">
      <c r="A26" s="30" t="s">
        <v>84</v>
      </c>
      <c r="E26" s="33">
        <v>2978</v>
      </c>
      <c r="F26" s="33"/>
      <c r="G26" s="33">
        <v>1713</v>
      </c>
      <c r="H26" s="33"/>
      <c r="I26" s="33">
        <v>0</v>
      </c>
      <c r="J26" s="33"/>
      <c r="K26" s="33">
        <v>0</v>
      </c>
      <c r="L26" s="33"/>
      <c r="M26" s="33">
        <v>0</v>
      </c>
      <c r="N26" s="33"/>
      <c r="O26" s="33">
        <f>SUM(E26:M26)</f>
        <v>4691</v>
      </c>
    </row>
    <row r="27" spans="1:15" s="30" customFormat="1" ht="12.75">
      <c r="A27" s="30" t="s">
        <v>65</v>
      </c>
      <c r="E27" s="34">
        <v>0</v>
      </c>
      <c r="F27" s="33"/>
      <c r="G27" s="34">
        <v>0</v>
      </c>
      <c r="H27" s="33"/>
      <c r="I27" s="34">
        <v>0</v>
      </c>
      <c r="J27" s="33"/>
      <c r="K27" s="34">
        <v>0</v>
      </c>
      <c r="L27" s="33"/>
      <c r="M27" s="34">
        <v>256</v>
      </c>
      <c r="N27" s="33"/>
      <c r="O27" s="34">
        <f>SUM(E27:M27)</f>
        <v>256</v>
      </c>
    </row>
    <row r="28" spans="5:15" s="30" customFormat="1" ht="12.75"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</row>
    <row r="29" spans="1:15" s="30" customFormat="1" ht="13.5" thickBot="1">
      <c r="A29" s="30" t="s">
        <v>146</v>
      </c>
      <c r="E29" s="36">
        <f>SUM(E23:E28)</f>
        <v>42340</v>
      </c>
      <c r="F29" s="46">
        <f aca="true" t="shared" si="0" ref="F29:K29">SUM(F23:F28)</f>
        <v>0</v>
      </c>
      <c r="G29" s="36">
        <f t="shared" si="0"/>
        <v>7672</v>
      </c>
      <c r="H29" s="46">
        <f t="shared" si="0"/>
        <v>0</v>
      </c>
      <c r="I29" s="36">
        <f t="shared" si="0"/>
        <v>30</v>
      </c>
      <c r="J29" s="36">
        <f t="shared" si="0"/>
        <v>0</v>
      </c>
      <c r="K29" s="36">
        <f t="shared" si="0"/>
        <v>0</v>
      </c>
      <c r="L29" s="46">
        <f>SUM(L23:L28)</f>
        <v>0</v>
      </c>
      <c r="M29" s="36">
        <f>SUM(M23:M28)</f>
        <v>3570</v>
      </c>
      <c r="N29" s="46">
        <f>SUM(N23:N28)</f>
        <v>0</v>
      </c>
      <c r="O29" s="36">
        <f>SUM(O23:O28)</f>
        <v>53612</v>
      </c>
    </row>
    <row r="30" spans="5:15" s="30" customFormat="1" ht="12.75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s="30" customFormat="1" ht="12.7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2" ht="12.75">
      <c r="A32" s="43"/>
      <c r="B32" s="43"/>
    </row>
    <row r="33" spans="1:13" s="12" customFormat="1" ht="12.75">
      <c r="A33" s="12" t="s">
        <v>128</v>
      </c>
      <c r="M33" s="45"/>
    </row>
    <row r="34" spans="1:13" s="12" customFormat="1" ht="12.75">
      <c r="A34" s="12" t="s">
        <v>76</v>
      </c>
      <c r="M34" s="45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</sheetData>
  <printOptions/>
  <pageMargins left="0.5" right="0.5" top="1" bottom="1" header="0.5" footer="0.5"/>
  <pageSetup horizontalDpi="300" verticalDpi="300" orientation="landscape" paperSize="9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41</v>
      </c>
    </row>
    <row r="4" ht="15.75">
      <c r="A4" s="2" t="s">
        <v>30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42</v>
      </c>
      <c r="D8" s="5" t="s">
        <v>42</v>
      </c>
    </row>
    <row r="9" spans="2:4" s="5" customFormat="1" ht="12.75" customHeight="1">
      <c r="B9" s="5" t="s">
        <v>43</v>
      </c>
      <c r="D9" s="5" t="s">
        <v>43</v>
      </c>
    </row>
    <row r="10" spans="2:4" s="5" customFormat="1" ht="12.75" customHeight="1">
      <c r="B10" s="5" t="s">
        <v>31</v>
      </c>
      <c r="D10" s="5" t="s">
        <v>31</v>
      </c>
    </row>
    <row r="12" spans="1:4" ht="12.75" customHeight="1">
      <c r="A12" s="20" t="s">
        <v>44</v>
      </c>
      <c r="B12" s="27">
        <v>0</v>
      </c>
      <c r="C12" s="27"/>
      <c r="D12" s="27">
        <v>0</v>
      </c>
    </row>
    <row r="13" spans="1:4" ht="12.75" customHeight="1">
      <c r="A13" s="20" t="s">
        <v>45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46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47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48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52</v>
      </c>
    </row>
    <row r="23" s="15" customFormat="1" ht="12.75">
      <c r="A23" s="15" t="s">
        <v>51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JonMMx 2000</cp:lastModifiedBy>
  <cp:lastPrinted>2005-08-16T03:09:14Z</cp:lastPrinted>
  <dcterms:created xsi:type="dcterms:W3CDTF">2002-05-19T06:20:37Z</dcterms:created>
  <dcterms:modified xsi:type="dcterms:W3CDTF">2005-02-22T15:06:18Z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383528047</vt:i4>
  </property>
  <property fmtid="{D5CDD505-2E9C-101B-9397-08002B2CF9AE}" pid="3" name="_EmailSubject">
    <vt:lpwstr>Q3 2004 result - 22 Nov 2004</vt:lpwstr>
  </property>
  <property fmtid="{D5CDD505-2E9C-101B-9397-08002B2CF9AE}" pid="4" name="_AuthorEmail">
    <vt:lpwstr>farish@magnaprima.com.my</vt:lpwstr>
  </property>
  <property fmtid="{D5CDD505-2E9C-101B-9397-08002B2CF9AE}" pid="5" name="_AuthorEmailDisplayName">
    <vt:lpwstr>farish</vt:lpwstr>
  </property>
</Properties>
</file>